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70" yWindow="225" windowWidth="24915" windowHeight="128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Feuil1!$A$1:$G$45</definedName>
  </definedNames>
  <calcPr calcId="145621"/>
</workbook>
</file>

<file path=xl/calcChain.xml><?xml version="1.0" encoding="utf-8"?>
<calcChain xmlns="http://schemas.openxmlformats.org/spreadsheetml/2006/main">
  <c r="E2" i="1" l="1"/>
  <c r="D9" i="1"/>
  <c r="E11" i="1" s="1"/>
  <c r="E10" i="1" l="1"/>
  <c r="C16" i="1"/>
  <c r="C26" i="1" s="1"/>
  <c r="I5" i="1" l="1"/>
  <c r="F6" i="1"/>
  <c r="B6" i="1" l="1"/>
  <c r="B5" i="1"/>
  <c r="J5" i="1" s="1"/>
  <c r="L6" i="1" l="1"/>
  <c r="M6" i="1" s="1"/>
  <c r="F33" i="1" l="1"/>
  <c r="E28" i="1" l="1"/>
  <c r="C11" i="1" l="1"/>
  <c r="F45" i="1" s="1"/>
  <c r="C13" i="1" l="1"/>
  <c r="C38" i="1" s="1"/>
  <c r="C10" i="1" l="1"/>
  <c r="F43" i="1" s="1"/>
  <c r="C3" i="1"/>
  <c r="C7" i="1"/>
  <c r="C18" i="1" s="1"/>
  <c r="C2" i="1"/>
  <c r="C22" i="1" l="1"/>
  <c r="C24" i="1" s="1"/>
  <c r="C27" i="1"/>
  <c r="C30" i="1" s="1"/>
  <c r="C19" i="1"/>
  <c r="F22" i="1" l="1"/>
  <c r="F30" i="1"/>
  <c r="C28" i="1"/>
  <c r="D24" i="1"/>
  <c r="D23" i="1"/>
  <c r="D22" i="1"/>
  <c r="D20" i="1"/>
  <c r="D18" i="1"/>
  <c r="D19" i="1"/>
  <c r="F19" i="1"/>
  <c r="F31" i="1" l="1"/>
  <c r="C31" i="1"/>
  <c r="D31" i="1" s="1"/>
  <c r="C43" i="1"/>
  <c r="C35" i="1"/>
  <c r="C36" i="1" s="1"/>
  <c r="C45" i="1"/>
  <c r="C32" i="1" l="1"/>
  <c r="D30" i="1"/>
  <c r="C37" i="1"/>
  <c r="C39" i="1" s="1"/>
  <c r="C33" i="1" l="1"/>
  <c r="F40" i="1" l="1"/>
  <c r="D34" i="1"/>
  <c r="D33" i="1"/>
  <c r="C40" i="1"/>
  <c r="D40" i="1" s="1"/>
  <c r="C41" i="1"/>
  <c r="D41" i="1" s="1"/>
  <c r="F44" i="1"/>
  <c r="F41" i="1"/>
  <c r="C44" i="1"/>
</calcChain>
</file>

<file path=xl/sharedStrings.xml><?xml version="1.0" encoding="utf-8"?>
<sst xmlns="http://schemas.openxmlformats.org/spreadsheetml/2006/main" count="119" uniqueCount="82">
  <si>
    <t>Données calculées</t>
  </si>
  <si>
    <t>Données Entrées</t>
  </si>
  <si>
    <t>mm</t>
  </si>
  <si>
    <t>tan(Pc)</t>
  </si>
  <si>
    <t>m</t>
  </si>
  <si>
    <t>° parallaxe</t>
  </si>
  <si>
    <t>(pour calculer b)</t>
  </si>
  <si>
    <t>(pour calculer bc et dbc)</t>
  </si>
  <si>
    <t>1/</t>
  </si>
  <si>
    <t>%</t>
  </si>
  <si>
    <t>tan</t>
  </si>
  <si>
    <t>a=</t>
  </si>
  <si>
    <t>b=</t>
  </si>
  <si>
    <t>c=</t>
  </si>
  <si>
    <t>delta=</t>
  </si>
  <si>
    <t>°</t>
  </si>
  <si>
    <t>Tantième de bc par rapport à la distance de confort obj plus proche</t>
  </si>
  <si>
    <t>Tantième de b par rapport à la distance objet le plus proche</t>
  </si>
  <si>
    <t>Écart que représente la parallaxe différentielle sur l'écran de projection en mm</t>
  </si>
  <si>
    <t>ATTENTION : divergence occulaire si &gt; 0°  (maxi 1°, conseillé 0,4°)</t>
  </si>
  <si>
    <t>Ecart des homologues</t>
  </si>
  <si>
    <t>Ecart des homologues du point le plus loin sur l'écran de projection en mm</t>
  </si>
  <si>
    <t>Ecart des homologues du point le plus proche sur l'écran de projection en mm</t>
  </si>
  <si>
    <t>l'observateur le plus proche de l'écran à la plus grande divergence</t>
  </si>
  <si>
    <t>Salle: Distance de l'observateur le plus éloigné de l'écran de projection en m</t>
  </si>
  <si>
    <t>Salle: Dimension de l'écran de projection en mm</t>
  </si>
  <si>
    <t>PDV : parallaxe de la base à Db de confort souhaitée pour la prise de vue en °</t>
  </si>
  <si>
    <t>PDV: Focale de l'optique de l'appareil photo en mm</t>
  </si>
  <si>
    <t>PDV: Taille du capteur en mm</t>
  </si>
  <si>
    <t>PDV: % souhaité pour la parallaxe différentielle sur le capteur</t>
  </si>
  <si>
    <t>PDV: Db : Distance à l'objet le plus proche dans la fenêtre stéréoscopique en m</t>
  </si>
  <si>
    <t>e : écart des homologues, parallaxe différentielle sur le capteur en mm</t>
  </si>
  <si>
    <t>Dbc : Distance de confort du premier plan en mm (4) pour e</t>
  </si>
  <si>
    <t>bc : Base stéréoscopique de confort en mm (5) pour e</t>
  </si>
  <si>
    <t>b : Base stéréo sans considérer la parallaxe de confort en mm (3) pour e</t>
  </si>
  <si>
    <t>m fusion de</t>
  </si>
  <si>
    <t>mm derrière l'écran</t>
  </si>
  <si>
    <t>6,1 à 30,5 mm (équivalent 28 à 140 mm)</t>
  </si>
  <si>
    <t>F pour 35mm</t>
  </si>
  <si>
    <t>F du G11</t>
  </si>
  <si>
    <t>Angle capteur</t>
  </si>
  <si>
    <t>Dim CCD L</t>
  </si>
  <si>
    <t>f déduite test</t>
  </si>
  <si>
    <t>Angle</t>
  </si>
  <si>
    <t>0,00203*3648</t>
  </si>
  <si>
    <t>f G11</t>
  </si>
  <si>
    <t>TV 3D LG 47LW5500 - 47" soit 119,38 cm de diagonale au rapport 1,7777 - 1920x1080 pixels</t>
  </si>
  <si>
    <t>)</t>
  </si>
  <si>
    <t>) ATTENTION : ce groupe contient la base et la distance du premier objet pour obtenir EXACTEMENT la parallaxe de confort saisie en entrée</t>
  </si>
  <si>
    <t>écart des homologues sur le capteur en fonction du % et de la dimension du capteur</t>
  </si>
  <si>
    <t>) Ce groupe contient la solution géométrique de la base et de la parallaxe aux distances des objets paramètrés</t>
  </si>
  <si>
    <t>mm/pixel</t>
  </si>
  <si>
    <t>z=</t>
  </si>
  <si>
    <t xml:space="preserve"> ' de °</t>
  </si>
  <si>
    <t xml:space="preserve"> ' de °/pixel</t>
  </si>
  <si>
    <t>(résolution de l'œil 1')</t>
  </si>
  <si>
    <t>pixels ----&gt;</t>
  </si>
  <si>
    <t>mm ----&gt;</t>
  </si>
  <si>
    <t>Salle: Nombre de pixels sur l'axe horizontal de l'écran de projection</t>
  </si>
  <si>
    <t>Distance minimale du premier plan de la scène stéréophotographiée en mm</t>
  </si>
  <si>
    <t>Obs: Distance inter pupillaire du spectateur en mm</t>
  </si>
  <si>
    <t>Obs: Angle de confort pour la fusion du relief dans l'axe du spectateur en °</t>
  </si>
  <si>
    <t>Salle: Pourcentage de jaillissement de l'écran d'observation souhaité pour  la scène stéréoreproduite</t>
  </si>
  <si>
    <t>PDV: Da : Distance à l'objet le plus loin dans la fenêtre stéréoscopique en m, les infinis</t>
  </si>
  <si>
    <t>km</t>
  </si>
  <si>
    <t>(ex 3.4% pour 1/30 p1.9° sur du 24x36 mm avec un 35 mm)</t>
  </si>
  <si>
    <t>le zoom de SDM 27 à 139</t>
  </si>
  <si>
    <t>Maximum théorique de 1.5° (aux limites), conseil David ROMEUF de 0,3°</t>
  </si>
  <si>
    <t>(résolution de l'œil de 1' de °)</t>
  </si>
  <si>
    <t>Angle de convergence oculaire (des infinis) pour l'observateur le plus proche de l'écran en ° (7)</t>
  </si>
  <si>
    <t>Angle de convergence oculaire (des infinis) pour l'observateur distance de confort en ° (7)</t>
  </si>
  <si>
    <t>Angle de convergence oculaire (des infinis) pour l'observateur le plus éloigné de l'écran en ° (7)</t>
  </si>
  <si>
    <t>Distance de l'observateur de confort où le plan le plus loin est fusionné en mm (6)</t>
  </si>
  <si>
    <t>Distance de l'observateur de confort où le plan le plus proche est fusionné en mm (6)</t>
  </si>
  <si>
    <t>Distance idéale de l'observateur pour la fusion de confort en mm (12)</t>
  </si>
  <si>
    <t>Distance de observateur (+proche) où le plan le plus loin est fusionné en mm (6)</t>
  </si>
  <si>
    <t>Distance de l'observateur (+proche) où le plan le plus proche est fusionné en mm (6)</t>
  </si>
  <si>
    <t>Angle de fusion du relief pour l'observateur (+proche) entre plans plus loin et le plus proche en ° (8)</t>
  </si>
  <si>
    <t>Dimension du pixel à la distance idéale de l'observateur pour la fusion de confort en ' de degré (13)</t>
  </si>
  <si>
    <t>à</t>
  </si>
  <si>
    <t>ATTENTION : maxi théorique entre 1,5° à 2° - confort vers 0,3°</t>
  </si>
  <si>
    <t>Salle: Distance de l'observateur le plus proche de l'écran de projection en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</si>
</sst>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00000"/>
    <numFmt numFmtId="166" formatCode="0.0"/>
    <numFmt numFmtId="167" formatCode="0.000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2" fontId="2" fillId="2" borderId="0" xfId="0" applyNumberFormat="1" applyFont="1" applyFill="1"/>
    <xf numFmtId="0" fontId="2" fillId="2" borderId="0" xfId="0" applyFont="1" applyFill="1"/>
    <xf numFmtId="0" fontId="2" fillId="3" borderId="0" xfId="0" applyFont="1" applyFill="1"/>
    <xf numFmtId="2" fontId="1" fillId="0" borderId="0" xfId="0" applyNumberFormat="1" applyFont="1" applyFill="1"/>
    <xf numFmtId="0" fontId="0" fillId="0" borderId="0" xfId="0" applyFill="1"/>
    <xf numFmtId="2" fontId="2" fillId="0" borderId="0" xfId="0" applyNumberFormat="1" applyFont="1" applyFill="1"/>
    <xf numFmtId="2" fontId="2" fillId="0" borderId="0" xfId="0" applyNumberFormat="1" applyFont="1"/>
    <xf numFmtId="0" fontId="0" fillId="4" borderId="0" xfId="0" applyFill="1"/>
    <xf numFmtId="0" fontId="0" fillId="5" borderId="0" xfId="0" applyFill="1"/>
    <xf numFmtId="2" fontId="4" fillId="0" borderId="0" xfId="0" applyNumberFormat="1" applyFont="1"/>
    <xf numFmtId="0" fontId="3" fillId="0" borderId="0" xfId="0" applyFont="1"/>
    <xf numFmtId="2" fontId="5" fillId="0" borderId="0" xfId="0" applyNumberFormat="1" applyFont="1"/>
    <xf numFmtId="0" fontId="2" fillId="0" borderId="0" xfId="0" applyFont="1" applyFill="1"/>
    <xf numFmtId="165" fontId="1" fillId="0" borderId="0" xfId="0" applyNumberFormat="1" applyFont="1"/>
    <xf numFmtId="165" fontId="0" fillId="0" borderId="0" xfId="0" applyNumberFormat="1"/>
    <xf numFmtId="2" fontId="6" fillId="2" borderId="0" xfId="0" applyNumberFormat="1" applyFont="1" applyFill="1"/>
    <xf numFmtId="167" fontId="2" fillId="0" borderId="0" xfId="0" applyNumberFormat="1" applyFont="1"/>
    <xf numFmtId="0" fontId="2" fillId="6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9" fillId="0" borderId="0" xfId="0" applyNumberFormat="1" applyFont="1" applyAlignment="1">
      <alignment horizontal="left"/>
    </xf>
    <xf numFmtId="0" fontId="0" fillId="0" borderId="0" xfId="0" quotePrefix="1"/>
    <xf numFmtId="0" fontId="4" fillId="0" borderId="0" xfId="0" applyFont="1" applyFill="1"/>
    <xf numFmtId="0" fontId="0" fillId="0" borderId="1" xfId="0" applyFont="1" applyBorder="1"/>
    <xf numFmtId="2" fontId="7" fillId="3" borderId="2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2" fontId="2" fillId="3" borderId="7" xfId="0" applyNumberFormat="1" applyFont="1" applyFill="1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2" fontId="1" fillId="3" borderId="0" xfId="0" applyNumberFormat="1" applyFont="1" applyFill="1" applyBorder="1" applyAlignment="1">
      <alignment horizontal="left"/>
    </xf>
    <xf numFmtId="2" fontId="1" fillId="2" borderId="0" xfId="0" applyNumberFormat="1" applyFont="1" applyFill="1" applyAlignment="1">
      <alignment horizontal="left"/>
    </xf>
    <xf numFmtId="164" fontId="2" fillId="0" borderId="1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2" fontId="7" fillId="3" borderId="1" xfId="0" applyNumberFormat="1" applyFont="1" applyFill="1" applyBorder="1"/>
    <xf numFmtId="2" fontId="7" fillId="3" borderId="6" xfId="0" applyNumberFormat="1" applyFont="1" applyFill="1" applyBorder="1"/>
    <xf numFmtId="0" fontId="0" fillId="0" borderId="7" xfId="0" quotePrefix="1" applyBorder="1"/>
    <xf numFmtId="2" fontId="2" fillId="0" borderId="1" xfId="0" applyNumberFormat="1" applyFont="1" applyBorder="1"/>
    <xf numFmtId="2" fontId="4" fillId="0" borderId="2" xfId="0" applyNumberFormat="1" applyFont="1" applyBorder="1"/>
    <xf numFmtId="2" fontId="2" fillId="0" borderId="4" xfId="0" applyNumberFormat="1" applyFont="1" applyBorder="1"/>
    <xf numFmtId="2" fontId="4" fillId="0" borderId="0" xfId="0" applyNumberFormat="1" applyFont="1" applyBorder="1"/>
    <xf numFmtId="2" fontId="2" fillId="0" borderId="6" xfId="0" applyNumberFormat="1" applyFont="1" applyBorder="1"/>
    <xf numFmtId="2" fontId="4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workbookViewId="0">
      <selection activeCell="B3" sqref="B3"/>
    </sheetView>
  </sheetViews>
  <sheetFormatPr baseColWidth="10" defaultRowHeight="15" x14ac:dyDescent="0.25"/>
  <cols>
    <col min="1" max="1" width="92.140625" bestFit="1" customWidth="1"/>
    <col min="2" max="2" width="16.140625" bestFit="1" customWidth="1"/>
    <col min="3" max="3" width="17.5703125" bestFit="1" customWidth="1"/>
    <col min="4" max="4" width="12" bestFit="1" customWidth="1"/>
    <col min="7" max="7" width="16.140625" customWidth="1"/>
    <col min="8" max="8" width="12.5703125" customWidth="1"/>
    <col min="9" max="9" width="13.28515625" customWidth="1"/>
    <col min="11" max="11" width="12.42578125" bestFit="1" customWidth="1"/>
    <col min="12" max="12" width="8.42578125" bestFit="1" customWidth="1"/>
    <col min="13" max="13" width="13.28515625" bestFit="1" customWidth="1"/>
  </cols>
  <sheetData>
    <row r="1" spans="1:13" x14ac:dyDescent="0.25">
      <c r="B1" t="s">
        <v>1</v>
      </c>
      <c r="C1" t="s">
        <v>0</v>
      </c>
    </row>
    <row r="2" spans="1:13" ht="18.75" x14ac:dyDescent="0.3">
      <c r="A2" s="11" t="s">
        <v>63</v>
      </c>
      <c r="B2" s="1">
        <v>40000</v>
      </c>
      <c r="C2">
        <f>B2*1000</f>
        <v>40000000</v>
      </c>
      <c r="D2" t="s">
        <v>2</v>
      </c>
      <c r="E2">
        <f>B2/1000</f>
        <v>40</v>
      </c>
      <c r="F2" t="s">
        <v>64</v>
      </c>
    </row>
    <row r="3" spans="1:13" ht="18.75" x14ac:dyDescent="0.3">
      <c r="A3" s="11" t="s">
        <v>30</v>
      </c>
      <c r="B3" s="6">
        <v>30</v>
      </c>
      <c r="C3">
        <f>B3*1000</f>
        <v>30000</v>
      </c>
      <c r="D3" t="s">
        <v>2</v>
      </c>
      <c r="E3" t="s">
        <v>6</v>
      </c>
    </row>
    <row r="4" spans="1:13" ht="18.75" x14ac:dyDescent="0.3">
      <c r="A4" s="11" t="s">
        <v>29</v>
      </c>
      <c r="B4" s="1">
        <v>3</v>
      </c>
      <c r="C4" t="s">
        <v>9</v>
      </c>
      <c r="D4" t="s">
        <v>65</v>
      </c>
      <c r="H4" s="23" t="s">
        <v>41</v>
      </c>
      <c r="I4" s="23" t="s">
        <v>42</v>
      </c>
      <c r="J4" s="23" t="s">
        <v>43</v>
      </c>
      <c r="K4" s="23"/>
      <c r="L4" s="23"/>
      <c r="M4" s="23"/>
    </row>
    <row r="5" spans="1:13" ht="18.75" x14ac:dyDescent="0.3">
      <c r="A5" s="11" t="s">
        <v>28</v>
      </c>
      <c r="B5" s="20">
        <f>0.00203*3648</f>
        <v>7.4054400000000005</v>
      </c>
      <c r="C5" t="s">
        <v>2</v>
      </c>
      <c r="D5" t="s">
        <v>66</v>
      </c>
      <c r="F5" t="s">
        <v>45</v>
      </c>
      <c r="H5" s="23" t="s">
        <v>44</v>
      </c>
      <c r="I5" s="23">
        <f>4600*(0.00203*397)/610</f>
        <v>6.0773540983606562</v>
      </c>
      <c r="J5" s="23">
        <f>DEGREES(ATAN(B5/I5))</f>
        <v>50.625616954558815</v>
      </c>
      <c r="K5" s="24" t="s">
        <v>38</v>
      </c>
      <c r="L5" s="24" t="s">
        <v>39</v>
      </c>
      <c r="M5" s="24" t="s">
        <v>40</v>
      </c>
    </row>
    <row r="6" spans="1:13" ht="18.75" x14ac:dyDescent="0.3">
      <c r="A6" s="11" t="s">
        <v>27</v>
      </c>
      <c r="B6" s="1">
        <f>F6</f>
        <v>6.1</v>
      </c>
      <c r="C6" t="s">
        <v>2</v>
      </c>
      <c r="E6" s="21">
        <v>27</v>
      </c>
      <c r="F6">
        <f>6.1+(E6-27)*(30.5-6.1)/(139-27)</f>
        <v>6.1</v>
      </c>
      <c r="H6" s="23" t="s">
        <v>37</v>
      </c>
      <c r="I6" s="23"/>
      <c r="J6" s="23"/>
      <c r="K6" s="25">
        <v>99</v>
      </c>
      <c r="L6" s="25">
        <f>(30.5-6.1)*(K6-28)/(140-28)+6.1</f>
        <v>21.567857142857143</v>
      </c>
      <c r="M6" s="25">
        <f>72-(L6-6.1)*(72-20)/(30.5-6.1)</f>
        <v>39.035714285714285</v>
      </c>
    </row>
    <row r="7" spans="1:13" ht="18.75" x14ac:dyDescent="0.3">
      <c r="A7" s="11" t="s">
        <v>26</v>
      </c>
      <c r="B7" s="5">
        <v>1.9</v>
      </c>
      <c r="C7">
        <f>TAN(RADIANS(B7))</f>
        <v>3.3173416604132679E-2</v>
      </c>
      <c r="D7" t="s">
        <v>3</v>
      </c>
      <c r="E7" t="s">
        <v>7</v>
      </c>
    </row>
    <row r="8" spans="1:13" ht="18.75" x14ac:dyDescent="0.3">
      <c r="A8" s="11" t="s">
        <v>25</v>
      </c>
      <c r="B8" s="1">
        <v>1040</v>
      </c>
      <c r="C8" t="s">
        <v>2</v>
      </c>
      <c r="H8" t="s">
        <v>46</v>
      </c>
    </row>
    <row r="9" spans="1:13" ht="18.75" x14ac:dyDescent="0.3">
      <c r="A9" s="11" t="s">
        <v>58</v>
      </c>
      <c r="B9" s="1">
        <v>1920</v>
      </c>
      <c r="C9" t="s">
        <v>56</v>
      </c>
      <c r="D9" s="27">
        <f>B8/B9</f>
        <v>0.54166666666666663</v>
      </c>
      <c r="E9" s="8" t="s">
        <v>51</v>
      </c>
    </row>
    <row r="10" spans="1:13" ht="18.75" x14ac:dyDescent="0.3">
      <c r="A10" s="11" t="s">
        <v>81</v>
      </c>
      <c r="B10" s="1">
        <v>2</v>
      </c>
      <c r="C10">
        <f>B10*1000</f>
        <v>2000</v>
      </c>
      <c r="D10" t="s">
        <v>57</v>
      </c>
      <c r="E10" s="13">
        <f>DEGREES(ATAN(D9/C10))*60</f>
        <v>0.93105639432304366</v>
      </c>
      <c r="F10" s="26" t="s">
        <v>54</v>
      </c>
      <c r="G10" t="s">
        <v>55</v>
      </c>
    </row>
    <row r="11" spans="1:13" ht="18.75" x14ac:dyDescent="0.3">
      <c r="A11" s="11" t="s">
        <v>24</v>
      </c>
      <c r="B11" s="1">
        <v>5</v>
      </c>
      <c r="C11">
        <f>B11*1000</f>
        <v>5000</v>
      </c>
      <c r="D11" t="s">
        <v>57</v>
      </c>
      <c r="E11" s="13">
        <f>DEGREES(ATAN(D9/C11))*60</f>
        <v>0.37242256537810425</v>
      </c>
      <c r="F11" t="s">
        <v>54</v>
      </c>
    </row>
    <row r="12" spans="1:13" ht="18.75" x14ac:dyDescent="0.3">
      <c r="A12" s="11" t="s">
        <v>60</v>
      </c>
      <c r="B12" s="1">
        <v>65</v>
      </c>
      <c r="D12" t="s">
        <v>2</v>
      </c>
    </row>
    <row r="13" spans="1:13" ht="18.75" x14ac:dyDescent="0.3">
      <c r="A13" s="11" t="s">
        <v>61</v>
      </c>
      <c r="B13" s="1">
        <v>0.3</v>
      </c>
      <c r="C13">
        <f>TAN(RADIANS(B13))</f>
        <v>5.2360356057001272E-3</v>
      </c>
      <c r="D13" t="s">
        <v>10</v>
      </c>
      <c r="H13" t="s">
        <v>67</v>
      </c>
    </row>
    <row r="14" spans="1:13" ht="18.75" x14ac:dyDescent="0.3">
      <c r="A14" s="11" t="s">
        <v>62</v>
      </c>
      <c r="B14" s="1">
        <v>0</v>
      </c>
      <c r="C14" t="s">
        <v>9</v>
      </c>
    </row>
    <row r="15" spans="1:13" s="8" customFormat="1" ht="18.75" x14ac:dyDescent="0.3">
      <c r="B15" s="16"/>
    </row>
    <row r="16" spans="1:13" ht="18.75" x14ac:dyDescent="0.3">
      <c r="A16" s="12" t="s">
        <v>31</v>
      </c>
      <c r="C16" s="1">
        <f>B5*B4/100</f>
        <v>0.22216320000000003</v>
      </c>
      <c r="D16" t="s">
        <v>2</v>
      </c>
      <c r="H16" s="22" t="s">
        <v>49</v>
      </c>
    </row>
    <row r="17" spans="1:8" s="8" customFormat="1" ht="18.75" x14ac:dyDescent="0.3">
      <c r="B17" s="16"/>
    </row>
    <row r="18" spans="1:8" ht="18.75" x14ac:dyDescent="0.3">
      <c r="A18" s="12" t="s">
        <v>32</v>
      </c>
      <c r="C18">
        <f>ABS(C2*(B6*C7-C16)/(B6*C7))</f>
        <v>3914917.9669052539</v>
      </c>
      <c r="D18" s="4">
        <f>C18/1000</f>
        <v>3914.9179669052542</v>
      </c>
      <c r="E18" t="s">
        <v>4</v>
      </c>
      <c r="H18" s="14" t="s">
        <v>47</v>
      </c>
    </row>
    <row r="19" spans="1:8" ht="23.25" x14ac:dyDescent="0.35">
      <c r="A19" s="12" t="s">
        <v>33</v>
      </c>
      <c r="C19">
        <f>ABS(C2*(B6*C7-C16)/B6)</f>
        <v>129871.2046871521</v>
      </c>
      <c r="D19" s="19">
        <f>C19/1000</f>
        <v>129.8712046871521</v>
      </c>
      <c r="E19" t="s">
        <v>4</v>
      </c>
      <c r="F19" s="4">
        <f>DEGREES(ATAN(C19/C18))</f>
        <v>1.9</v>
      </c>
      <c r="G19" t="s">
        <v>5</v>
      </c>
      <c r="H19" s="14" t="s">
        <v>48</v>
      </c>
    </row>
    <row r="20" spans="1:8" ht="15.75" x14ac:dyDescent="0.25">
      <c r="A20" t="s">
        <v>16</v>
      </c>
      <c r="C20" s="38" t="s">
        <v>8</v>
      </c>
      <c r="D20" s="41">
        <f>C18/C19</f>
        <v>30.144618865559419</v>
      </c>
      <c r="F20" s="2"/>
      <c r="H20" s="14" t="s">
        <v>47</v>
      </c>
    </row>
    <row r="21" spans="1:8" ht="15.75" x14ac:dyDescent="0.25">
      <c r="C21" s="3"/>
      <c r="D21" s="7"/>
      <c r="F21" s="2"/>
    </row>
    <row r="22" spans="1:8" ht="26.25" x14ac:dyDescent="0.4">
      <c r="A22" s="12" t="s">
        <v>34</v>
      </c>
      <c r="C22" s="28">
        <f>C16*C3*C2/(B6*(C2-C3))</f>
        <v>1093.4259711176826</v>
      </c>
      <c r="D22" s="29">
        <f>C22/1000</f>
        <v>1.0934259711176826</v>
      </c>
      <c r="E22" s="30" t="s">
        <v>4</v>
      </c>
      <c r="F22" s="29">
        <f>DEGREES(ATAN(C22/C3))</f>
        <v>2.0873658043895778</v>
      </c>
      <c r="G22" s="31" t="s">
        <v>5</v>
      </c>
      <c r="H22" s="23" t="s">
        <v>47</v>
      </c>
    </row>
    <row r="23" spans="1:8" ht="15.75" x14ac:dyDescent="0.25">
      <c r="A23" t="s">
        <v>17</v>
      </c>
      <c r="C23" s="39" t="s">
        <v>8</v>
      </c>
      <c r="D23" s="40">
        <f>C3/C22</f>
        <v>27.436699687436981</v>
      </c>
      <c r="E23" s="32"/>
      <c r="F23" s="32"/>
      <c r="G23" s="33"/>
      <c r="H23" s="23" t="s">
        <v>50</v>
      </c>
    </row>
    <row r="24" spans="1:8" ht="18.75" x14ac:dyDescent="0.3">
      <c r="A24" t="s">
        <v>59</v>
      </c>
      <c r="C24" s="34">
        <f>B6*C22/C16</f>
        <v>30022.516887665744</v>
      </c>
      <c r="D24" s="35">
        <f>C24/1000</f>
        <v>30.022516887665745</v>
      </c>
      <c r="E24" s="36" t="s">
        <v>4</v>
      </c>
      <c r="F24" s="36"/>
      <c r="G24" s="37"/>
      <c r="H24" s="23" t="s">
        <v>47</v>
      </c>
    </row>
    <row r="25" spans="1:8" s="8" customFormat="1" ht="18.75" x14ac:dyDescent="0.3">
      <c r="D25" s="9"/>
    </row>
    <row r="26" spans="1:8" ht="18.75" x14ac:dyDescent="0.3">
      <c r="A26" s="12" t="s">
        <v>18</v>
      </c>
      <c r="C26" s="42">
        <f>C16*B8/B5</f>
        <v>31.200000000000003</v>
      </c>
      <c r="D26" s="31" t="s">
        <v>2</v>
      </c>
      <c r="H26" t="s">
        <v>20</v>
      </c>
    </row>
    <row r="27" spans="1:8" ht="18.75" x14ac:dyDescent="0.3">
      <c r="A27" s="12" t="s">
        <v>21</v>
      </c>
      <c r="C27" s="43">
        <f>C26*(100-B14)/100</f>
        <v>31.200000000000003</v>
      </c>
      <c r="D27" s="33" t="s">
        <v>2</v>
      </c>
    </row>
    <row r="28" spans="1:8" ht="18.75" x14ac:dyDescent="0.3">
      <c r="A28" s="12" t="s">
        <v>22</v>
      </c>
      <c r="C28" s="44">
        <f>-C26*B14/100</f>
        <v>0</v>
      </c>
      <c r="D28" s="37" t="s">
        <v>2</v>
      </c>
      <c r="E28">
        <f>B14</f>
        <v>0</v>
      </c>
      <c r="F28" t="s">
        <v>9</v>
      </c>
    </row>
    <row r="29" spans="1:8" ht="18.75" x14ac:dyDescent="0.3">
      <c r="A29" s="8"/>
      <c r="C29" s="1"/>
    </row>
    <row r="30" spans="1:8" ht="18.75" x14ac:dyDescent="0.3">
      <c r="A30" t="s">
        <v>75</v>
      </c>
      <c r="C30" s="18">
        <f>C10+C27*C10/(B12-C27)</f>
        <v>3846.1538461538466</v>
      </c>
      <c r="D30" s="10">
        <f>C30/1000</f>
        <v>3.8461538461538467</v>
      </c>
      <c r="E30" t="s">
        <v>4</v>
      </c>
      <c r="F30" s="13">
        <f>C27*C10/(B12-C27)</f>
        <v>1846.1538461538464</v>
      </c>
      <c r="G30" t="s">
        <v>36</v>
      </c>
    </row>
    <row r="31" spans="1:8" ht="18.75" x14ac:dyDescent="0.3">
      <c r="A31" t="s">
        <v>76</v>
      </c>
      <c r="C31" s="18">
        <f>C10+C28*C10/(B12-C28)</f>
        <v>2000</v>
      </c>
      <c r="D31" s="10">
        <f>C31/1000</f>
        <v>2</v>
      </c>
      <c r="E31" t="s">
        <v>4</v>
      </c>
      <c r="F31" s="13">
        <f>C28*C10/(B12-C28)</f>
        <v>0</v>
      </c>
      <c r="G31" t="s">
        <v>36</v>
      </c>
    </row>
    <row r="32" spans="1:8" ht="21" x14ac:dyDescent="0.35">
      <c r="A32" s="12" t="s">
        <v>77</v>
      </c>
      <c r="C32" s="15">
        <f>ABS(DEGREES(ATAN((B12/2)/C30)-ATAN((B12/2)/C31)))</f>
        <v>0.44683666348624007</v>
      </c>
      <c r="D32" t="s">
        <v>15</v>
      </c>
      <c r="H32" s="14" t="s">
        <v>80</v>
      </c>
    </row>
    <row r="33" spans="1:8" ht="26.25" x14ac:dyDescent="0.4">
      <c r="A33" s="12" t="s">
        <v>74</v>
      </c>
      <c r="C33" s="17">
        <f>-2*C36/(-C37+SQRT(C39))</f>
        <v>2012.7219734159687</v>
      </c>
      <c r="D33" s="45">
        <f>C33/1000</f>
        <v>2.0127219734159687</v>
      </c>
      <c r="E33" s="30" t="s">
        <v>35</v>
      </c>
      <c r="F33" s="31">
        <f>B13</f>
        <v>0.3</v>
      </c>
      <c r="G33" t="s">
        <v>15</v>
      </c>
    </row>
    <row r="34" spans="1:8" ht="26.25" x14ac:dyDescent="0.4">
      <c r="A34" s="12" t="s">
        <v>78</v>
      </c>
      <c r="C34" s="17"/>
      <c r="D34" s="46">
        <f>DEGREES(ATAN(D9/C33))*60</f>
        <v>0.92517139168479934</v>
      </c>
      <c r="E34" s="47" t="s">
        <v>53</v>
      </c>
      <c r="F34" s="37"/>
      <c r="H34" t="s">
        <v>68</v>
      </c>
    </row>
    <row r="35" spans="1:8" x14ac:dyDescent="0.25">
      <c r="A35" t="s">
        <v>52</v>
      </c>
      <c r="C35" s="18">
        <f>1+C28/B12+C27/B12+C28*C27/(B12*B12)</f>
        <v>1.48</v>
      </c>
    </row>
    <row r="36" spans="1:8" x14ac:dyDescent="0.25">
      <c r="A36" t="s">
        <v>11</v>
      </c>
      <c r="C36" s="18">
        <f>C13*B12*B12/(4*C35)</f>
        <v>3.736866627378892</v>
      </c>
    </row>
    <row r="37" spans="1:8" x14ac:dyDescent="0.25">
      <c r="A37" t="s">
        <v>12</v>
      </c>
      <c r="C37" s="18">
        <f>(-C28+C27)/(2*C35)</f>
        <v>10.540540540540542</v>
      </c>
    </row>
    <row r="38" spans="1:8" x14ac:dyDescent="0.25">
      <c r="A38" t="s">
        <v>13</v>
      </c>
      <c r="C38" s="18">
        <f>C13</f>
        <v>5.2360356057001272E-3</v>
      </c>
    </row>
    <row r="39" spans="1:8" x14ac:dyDescent="0.25">
      <c r="A39" t="s">
        <v>14</v>
      </c>
      <c r="C39" s="18">
        <f>C37*C37-4*C36*C38</f>
        <v>111.02472941991986</v>
      </c>
    </row>
    <row r="40" spans="1:8" ht="18.75" x14ac:dyDescent="0.3">
      <c r="A40" t="s">
        <v>72</v>
      </c>
      <c r="C40" s="18">
        <f>C33+C27*C33/(B12-C27)</f>
        <v>3870.6191796460939</v>
      </c>
      <c r="D40" s="10">
        <f>C40/1000</f>
        <v>3.870619179646094</v>
      </c>
      <c r="E40" t="s">
        <v>4</v>
      </c>
      <c r="F40" s="13">
        <f>C27*C33/(B12-C27)</f>
        <v>1857.8972062301252</v>
      </c>
      <c r="G40" t="s">
        <v>36</v>
      </c>
    </row>
    <row r="41" spans="1:8" ht="18.75" x14ac:dyDescent="0.3">
      <c r="A41" t="s">
        <v>73</v>
      </c>
      <c r="C41" s="18">
        <f>C33+C28*C33/(B12-C28)</f>
        <v>2012.7219734159687</v>
      </c>
      <c r="D41" s="10">
        <f>C41/1000</f>
        <v>2.0127219734159687</v>
      </c>
      <c r="E41" t="s">
        <v>4</v>
      </c>
      <c r="F41" s="13">
        <f>C28*C33/(B12-C28)</f>
        <v>0</v>
      </c>
      <c r="G41" t="s">
        <v>36</v>
      </c>
    </row>
    <row r="43" spans="1:8" ht="18.75" x14ac:dyDescent="0.3">
      <c r="A43" s="12" t="s">
        <v>69</v>
      </c>
      <c r="C43" s="48">
        <f>2*DEGREES(ATAN((C27-B12)/(2*C10)))</f>
        <v>-0.96827562844302817</v>
      </c>
      <c r="D43" s="30" t="s">
        <v>15</v>
      </c>
      <c r="E43" s="30" t="s">
        <v>79</v>
      </c>
      <c r="F43" s="49">
        <f>C10/1000</f>
        <v>2</v>
      </c>
      <c r="G43" s="31" t="s">
        <v>4</v>
      </c>
      <c r="H43" s="14" t="s">
        <v>19</v>
      </c>
    </row>
    <row r="44" spans="1:8" ht="18.75" x14ac:dyDescent="0.3">
      <c r="A44" s="12" t="s">
        <v>70</v>
      </c>
      <c r="C44" s="50">
        <f>2*DEGREES(ATAN((C27-B12)/(2*C33)))</f>
        <v>-0.96215565947799142</v>
      </c>
      <c r="D44" s="32" t="s">
        <v>15</v>
      </c>
      <c r="E44" s="32" t="s">
        <v>79</v>
      </c>
      <c r="F44" s="51">
        <f>C33/1000</f>
        <v>2.0127219734159687</v>
      </c>
      <c r="G44" s="33" t="s">
        <v>4</v>
      </c>
      <c r="H44" t="s">
        <v>23</v>
      </c>
    </row>
    <row r="45" spans="1:8" ht="18.75" x14ac:dyDescent="0.3">
      <c r="A45" s="12" t="s">
        <v>71</v>
      </c>
      <c r="C45" s="52">
        <f>2*DEGREES(ATAN((C27-B12)/(2*C11)))</f>
        <v>-0.38731799455436428</v>
      </c>
      <c r="D45" s="36" t="s">
        <v>15</v>
      </c>
      <c r="E45" s="36" t="s">
        <v>79</v>
      </c>
      <c r="F45" s="53">
        <f>C11/1000</f>
        <v>5</v>
      </c>
      <c r="G45" s="37" t="s">
        <v>4</v>
      </c>
    </row>
  </sheetData>
  <conditionalFormatting sqref="C43:C45">
    <cfRule type="colorScale" priority="2">
      <colorScale>
        <cfvo type="num" val="0"/>
        <cfvo type="num" val="0.4"/>
        <cfvo type="num" val="0.99"/>
        <color rgb="FF00B050"/>
        <color rgb="FFFFC000"/>
        <color rgb="FFFF0000"/>
      </colorScale>
    </cfRule>
  </conditionalFormatting>
  <conditionalFormatting sqref="C32">
    <cfRule type="colorScale" priority="1">
      <colorScale>
        <cfvo type="num" val="0"/>
        <cfvo type="num" val="0.7"/>
        <cfvo type="num" val="1.3"/>
        <color rgb="FF00B050"/>
        <color rgb="FFFFC000"/>
        <color rgb="FFFF0000"/>
      </colorScale>
    </cfRule>
  </conditionalFormatting>
  <pageMargins left="0.25" right="0.25" top="0.75" bottom="0.75" header="0.3" footer="0.3"/>
  <pageSetup paperSize="9" scale="6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UCBL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Romeuf</dc:creator>
  <cp:lastModifiedBy>ROMEUF DAVID</cp:lastModifiedBy>
  <cp:lastPrinted>2011-04-20T11:20:26Z</cp:lastPrinted>
  <dcterms:created xsi:type="dcterms:W3CDTF">2011-03-18T12:15:29Z</dcterms:created>
  <dcterms:modified xsi:type="dcterms:W3CDTF">2013-01-03T11:05:46Z</dcterms:modified>
</cp:coreProperties>
</file>